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35" windowHeight="11760" activeTab="0"/>
  </bookViews>
  <sheets>
    <sheet name="Kalkulátor" sheetId="1" r:id="rId1"/>
    <sheet name="Benzin" sheetId="2" r:id="rId2"/>
    <sheet name="Dízel" sheetId="3" r:id="rId3"/>
    <sheet name="Hibrid" sheetId="4" r:id="rId4"/>
    <sheet name="Egyéb" sheetId="5" r:id="rId5"/>
    <sheet name="Motor" sheetId="6" r:id="rId6"/>
    <sheet name="A" sheetId="7" state="hidden" r:id="rId7"/>
    <sheet name="K" sheetId="8" state="hidden" r:id="rId8"/>
  </sheets>
  <definedNames/>
  <calcPr fullCalcOnLoad="1"/>
</workbook>
</file>

<file path=xl/sharedStrings.xml><?xml version="1.0" encoding="utf-8"?>
<sst xmlns="http://schemas.openxmlformats.org/spreadsheetml/2006/main" count="129" uniqueCount="83">
  <si>
    <t>Hengerűrtartalom</t>
  </si>
  <si>
    <t>Első forgalomba helyezés dátuma</t>
  </si>
  <si>
    <t>Környezetvédelmi osztály kód</t>
  </si>
  <si>
    <t>A</t>
  </si>
  <si>
    <t>K</t>
  </si>
  <si>
    <t>k</t>
  </si>
  <si>
    <t>T</t>
  </si>
  <si>
    <t>t</t>
  </si>
  <si>
    <r>
      <t>Otto-motoros személygépkocsi 1100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 és dízelmotoros személygépkocsi 1300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</t>
    </r>
  </si>
  <si>
    <t>250 000 Ft/db</t>
  </si>
  <si>
    <t>372 000 Ft/db</t>
  </si>
  <si>
    <t>499 000 Ft/db</t>
  </si>
  <si>
    <t>749 000 Ft/db</t>
  </si>
  <si>
    <r>
      <t>Otto-motoros személygépkocsi 1101–1400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 és dízelmotoros személygépkocsi 1301–1500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</t>
    </r>
  </si>
  <si>
    <t>361 000 Ft/db</t>
  </si>
  <si>
    <t>542 000 Ft/db</t>
  </si>
  <si>
    <t>722 000 Ft/db</t>
  </si>
  <si>
    <t>1 083 000 Ft/db</t>
  </si>
  <si>
    <r>
      <t>Otto-motoros személygépkocsi 1401–1600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 és dízelmotoros személygépkocsi 1501–1700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</t>
    </r>
  </si>
  <si>
    <t>478 000 Ft/db</t>
  </si>
  <si>
    <t>966 000 Ft/db</t>
  </si>
  <si>
    <t>1 434 000 Ft/db</t>
  </si>
  <si>
    <r>
      <t>Otto-motoros személygépkocsi 1601–1800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 és dízelmotoros személygépkocsi 1701–2000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</t>
    </r>
  </si>
  <si>
    <t>743 000 Ft/db</t>
  </si>
  <si>
    <t>1 104 000 Ft/db</t>
  </si>
  <si>
    <t>1 476 000 Ft/db</t>
  </si>
  <si>
    <t>2 230 000 Ft/db</t>
  </si>
  <si>
    <r>
      <t>Otto-motoros személygépkocsi 1801–2000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 és dízelmotoros személygépkocsi 2001–2500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</t>
    </r>
  </si>
  <si>
    <t>1 020 000 Ft/db</t>
  </si>
  <si>
    <t>1 529 000 Ft/db</t>
  </si>
  <si>
    <t>2 039 000 Ft/db</t>
  </si>
  <si>
    <t>3 059 000 Ft/db</t>
  </si>
  <si>
    <r>
      <t>Otto-motoros személygépkocsi 2001–2500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 és dízelmotoros személygépkocsi 2501–3000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</t>
    </r>
  </si>
  <si>
    <t>1 466 000 Ft/db</t>
  </si>
  <si>
    <t>2 198 000 Ft/db</t>
  </si>
  <si>
    <t>2 931 000 Ft/db</t>
  </si>
  <si>
    <t>4 397 000 Ft/db</t>
  </si>
  <si>
    <r>
      <t>Otto-motoros személygépkocsi 2501–3000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 és dízelmotoros személygépkocsi 3001–3500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</t>
    </r>
  </si>
  <si>
    <t>3 345 000 Ft/db</t>
  </si>
  <si>
    <t>4 460 000 Ft/db</t>
  </si>
  <si>
    <t>6 691 000 Ft/db</t>
  </si>
  <si>
    <r>
      <t>Otto-motoros személygépkocsi 3000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 xml:space="preserve"> felett és dízelmotoros személygépkocsi 3500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 xml:space="preserve"> felett</t>
    </r>
  </si>
  <si>
    <t>3 207 000 Ft/db</t>
  </si>
  <si>
    <t>4 821 000 Ft/db</t>
  </si>
  <si>
    <t>6 425 000 Ft/db</t>
  </si>
  <si>
    <t>9 622 000 Ft/db</t>
  </si>
  <si>
    <t>A 6/1990. (IV. 12.) KöHÉM rendelet 5. számú mellékletének II. pontja szerinti 5 környezetvédelmi osztályba tartozó elektromos meghajtású, illetőleg hybrid (elektromos és Otto-, vagy elektromos és dízelmotoros) hajtású személygépkocsi</t>
  </si>
  <si>
    <t>A 6/1990. (IV. 12.) KöHÉM rendelet 5. számú mellékletének II. pontja szerinti 5 környezetvédelmi osztályba tartozó, a 9. pont alá nem tartozó egyéb személygépkocsi</t>
  </si>
  <si>
    <t>6–8</t>
  </si>
  <si>
    <t>Benzin</t>
  </si>
  <si>
    <t>Dízel</t>
  </si>
  <si>
    <t>Kérelem elfogadásának dátuma</t>
  </si>
  <si>
    <t>Kor:</t>
  </si>
  <si>
    <t>szorzó:</t>
  </si>
  <si>
    <t>t-kor:</t>
  </si>
  <si>
    <t>Fizetendő regisztrációs adó</t>
  </si>
  <si>
    <t>Otto-motoros szgk</t>
  </si>
  <si>
    <t>Dízel-motoros szgk</t>
  </si>
  <si>
    <t>Regisztrációs adó kalkulátor 2011. júliustól</t>
  </si>
  <si>
    <t>Válassz járműtípust:</t>
  </si>
  <si>
    <t>Otto-motoros szgk.</t>
  </si>
  <si>
    <t>Dízel-motoros szgk.</t>
  </si>
  <si>
    <t>6/1990 (IV.12) KöHÉM rend alapján hybrid vagy elektromos szgk.</t>
  </si>
  <si>
    <t>6/1990 (IV.12) KöHÉM rend alapján egyéb szgk.</t>
  </si>
  <si>
    <t>Motorkerékpár</t>
  </si>
  <si>
    <t>Hengerűrtartalom:</t>
  </si>
  <si>
    <t>év</t>
  </si>
  <si>
    <t>hónap</t>
  </si>
  <si>
    <t>nap</t>
  </si>
  <si>
    <t>Hibrid</t>
  </si>
  <si>
    <t>Egyéb</t>
  </si>
  <si>
    <r>
      <t>80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</t>
    </r>
  </si>
  <si>
    <t>20 000 Ft/db</t>
  </si>
  <si>
    <r>
      <t>81–125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</t>
    </r>
  </si>
  <si>
    <t>95 000 Ft/db</t>
  </si>
  <si>
    <r>
      <t>126–500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</t>
    </r>
  </si>
  <si>
    <t>135 000 Ft/db</t>
  </si>
  <si>
    <r>
      <t>501–900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-ig</t>
    </r>
  </si>
  <si>
    <t>180 000 Ft/db</t>
  </si>
  <si>
    <r>
      <t>901 cm</t>
    </r>
    <r>
      <rPr>
        <vertAlign val="superscript"/>
        <sz val="12"/>
        <color indexed="8"/>
        <rFont val="Times"/>
        <family val="0"/>
      </rPr>
      <t>3</t>
    </r>
    <r>
      <rPr>
        <sz val="12"/>
        <color indexed="8"/>
        <rFont val="Times"/>
        <family val="0"/>
      </rPr>
      <t>-től</t>
    </r>
  </si>
  <si>
    <t>230 000 Ft/db</t>
  </si>
  <si>
    <t>új számítás</t>
  </si>
  <si>
    <t>készítette: Lőrincz Szilárd hadnagy vezető szakreferens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</si>
</sst>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"/>
      <family val="0"/>
    </font>
    <font>
      <vertAlign val="superscript"/>
      <sz val="12"/>
      <color indexed="8"/>
      <name val="Times"/>
      <family val="0"/>
    </font>
    <font>
      <sz val="8"/>
      <color indexed="8"/>
      <name val="Times"/>
      <family val="0"/>
    </font>
    <font>
      <sz val="14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6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"/>
      <family val="0"/>
    </font>
    <font>
      <sz val="8"/>
      <color theme="1"/>
      <name val="Times"/>
      <family val="0"/>
    </font>
    <font>
      <sz val="14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i/>
      <sz val="10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9" fillId="0" borderId="0" xfId="0" applyFont="1" applyAlignment="1">
      <alignment/>
    </xf>
    <xf numFmtId="0" fontId="36" fillId="0" borderId="0" xfId="43" applyAlignment="1">
      <alignment/>
    </xf>
    <xf numFmtId="0" fontId="45" fillId="0" borderId="10" xfId="0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49" fillId="34" borderId="12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0" fillId="34" borderId="0" xfId="43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51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9" fillId="33" borderId="17" xfId="0" applyFont="1" applyFill="1" applyBorder="1" applyAlignment="1" applyProtection="1">
      <alignment/>
      <protection locked="0"/>
    </xf>
    <xf numFmtId="0" fontId="49" fillId="33" borderId="18" xfId="0" applyFont="1" applyFill="1" applyBorder="1" applyAlignment="1" applyProtection="1">
      <alignment/>
      <protection locked="0"/>
    </xf>
    <xf numFmtId="0" fontId="52" fillId="34" borderId="19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1" fontId="45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1" fontId="45" fillId="0" borderId="24" xfId="0" applyNumberFormat="1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1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3" max="3" width="14.8515625" style="0" customWidth="1"/>
  </cols>
  <sheetData>
    <row r="1" spans="1:56" ht="22.5" thickBot="1" thickTop="1">
      <c r="A1" s="30" t="s">
        <v>58</v>
      </c>
      <c r="B1" s="31"/>
      <c r="C1" s="31"/>
      <c r="D1" s="31"/>
      <c r="E1" s="31"/>
      <c r="F1" s="31"/>
      <c r="G1" s="31"/>
      <c r="H1" s="31"/>
      <c r="I1" s="31"/>
      <c r="J1" s="32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spans="1:56" ht="17.25" thickBot="1" thickTop="1">
      <c r="A2" s="18"/>
      <c r="B2" s="19"/>
      <c r="C2" s="19"/>
      <c r="D2" s="19"/>
      <c r="E2" s="19"/>
      <c r="F2" s="19"/>
      <c r="G2" s="19"/>
      <c r="H2" s="19"/>
      <c r="I2" s="19"/>
      <c r="J2" s="20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ht="16.5" thickBot="1">
      <c r="A3" s="18" t="s">
        <v>65</v>
      </c>
      <c r="B3" s="19"/>
      <c r="C3" s="19"/>
      <c r="D3" s="28">
        <v>1995</v>
      </c>
      <c r="E3" s="19"/>
      <c r="F3" s="19"/>
      <c r="G3" s="19"/>
      <c r="H3" s="19"/>
      <c r="I3" s="19"/>
      <c r="J3" s="20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</row>
    <row r="4" spans="1:56" ht="15.75">
      <c r="A4" s="18"/>
      <c r="B4" s="19"/>
      <c r="C4" s="19"/>
      <c r="D4" s="19" t="s">
        <v>66</v>
      </c>
      <c r="E4" s="19" t="s">
        <v>67</v>
      </c>
      <c r="F4" s="19" t="s">
        <v>68</v>
      </c>
      <c r="G4" s="19"/>
      <c r="H4" s="19"/>
      <c r="I4" s="19"/>
      <c r="J4" s="20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</row>
    <row r="5" spans="1:56" ht="15.75">
      <c r="A5" s="18" t="s">
        <v>1</v>
      </c>
      <c r="B5" s="19"/>
      <c r="C5" s="19"/>
      <c r="D5" s="29">
        <v>2008</v>
      </c>
      <c r="E5" s="29">
        <v>6</v>
      </c>
      <c r="F5" s="29">
        <v>24</v>
      </c>
      <c r="G5" s="19"/>
      <c r="H5" s="19"/>
      <c r="I5" s="19"/>
      <c r="J5" s="20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6" ht="15.75">
      <c r="A6" s="18"/>
      <c r="B6" s="19"/>
      <c r="C6" s="19"/>
      <c r="D6" s="19"/>
      <c r="E6" s="19"/>
      <c r="F6" s="19"/>
      <c r="G6" s="19"/>
      <c r="H6" s="19"/>
      <c r="I6" s="19"/>
      <c r="J6" s="20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</row>
    <row r="7" spans="1:56" ht="15.75">
      <c r="A7" s="18" t="s">
        <v>51</v>
      </c>
      <c r="B7" s="19"/>
      <c r="C7" s="19"/>
      <c r="D7" s="29">
        <v>2011</v>
      </c>
      <c r="E7" s="29">
        <v>11</v>
      </c>
      <c r="F7" s="29">
        <v>2</v>
      </c>
      <c r="G7" s="19"/>
      <c r="H7" s="19"/>
      <c r="I7" s="19"/>
      <c r="J7" s="20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16.5" thickBot="1">
      <c r="A8" s="18"/>
      <c r="B8" s="19"/>
      <c r="C8" s="19"/>
      <c r="D8" s="19"/>
      <c r="E8" s="19"/>
      <c r="F8" s="19"/>
      <c r="G8" s="19"/>
      <c r="H8" s="19"/>
      <c r="I8" s="19"/>
      <c r="J8" s="20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1:56" ht="16.5" thickBot="1">
      <c r="A9" s="18" t="s">
        <v>2</v>
      </c>
      <c r="B9" s="19"/>
      <c r="C9" s="19"/>
      <c r="D9" s="28">
        <v>10</v>
      </c>
      <c r="E9" s="19"/>
      <c r="F9" s="19"/>
      <c r="G9" s="19"/>
      <c r="H9" s="19"/>
      <c r="I9" s="19"/>
      <c r="J9" s="20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ht="15.75">
      <c r="A10" s="18"/>
      <c r="B10" s="19"/>
      <c r="C10" s="19"/>
      <c r="D10" s="19"/>
      <c r="E10" s="19"/>
      <c r="F10" s="19"/>
      <c r="G10" s="19"/>
      <c r="H10" s="19"/>
      <c r="I10" s="19"/>
      <c r="J10" s="20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56" ht="30" customHeight="1">
      <c r="A11" s="18" t="s">
        <v>59</v>
      </c>
      <c r="B11" s="19"/>
      <c r="C11" s="19"/>
      <c r="D11" s="21" t="s">
        <v>60</v>
      </c>
      <c r="E11" s="19"/>
      <c r="F11" s="19"/>
      <c r="G11" s="19"/>
      <c r="H11" s="19"/>
      <c r="I11" s="19"/>
      <c r="J11" s="20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6" ht="30" customHeight="1">
      <c r="A12" s="18"/>
      <c r="B12" s="19"/>
      <c r="C12" s="19"/>
      <c r="D12" s="21" t="s">
        <v>61</v>
      </c>
      <c r="E12" s="19"/>
      <c r="F12" s="19"/>
      <c r="G12" s="19"/>
      <c r="H12" s="19"/>
      <c r="I12" s="19"/>
      <c r="J12" s="2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ht="30" customHeight="1">
      <c r="A13" s="18"/>
      <c r="B13" s="19"/>
      <c r="C13" s="19"/>
      <c r="D13" s="21" t="s">
        <v>62</v>
      </c>
      <c r="E13" s="19"/>
      <c r="F13" s="19"/>
      <c r="G13" s="19"/>
      <c r="H13" s="19"/>
      <c r="I13" s="19"/>
      <c r="J13" s="2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56" ht="30" customHeight="1">
      <c r="A14" s="18"/>
      <c r="B14" s="19"/>
      <c r="C14" s="19"/>
      <c r="D14" s="21" t="s">
        <v>63</v>
      </c>
      <c r="E14" s="19"/>
      <c r="F14" s="19"/>
      <c r="G14" s="19"/>
      <c r="H14" s="19"/>
      <c r="I14" s="19"/>
      <c r="J14" s="2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1:56" ht="30" customHeight="1">
      <c r="A15" s="18"/>
      <c r="B15" s="19"/>
      <c r="C15" s="19"/>
      <c r="D15" s="21" t="s">
        <v>64</v>
      </c>
      <c r="E15" s="19"/>
      <c r="F15" s="19"/>
      <c r="G15" s="19"/>
      <c r="H15" s="19"/>
      <c r="I15" s="19"/>
      <c r="J15" s="2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</row>
    <row r="16" spans="1:56" ht="15">
      <c r="A16" s="22"/>
      <c r="B16" s="23"/>
      <c r="C16" s="23"/>
      <c r="D16" s="23"/>
      <c r="E16" s="23"/>
      <c r="F16" s="23"/>
      <c r="G16" s="23"/>
      <c r="H16" s="23"/>
      <c r="I16" s="23"/>
      <c r="J16" s="2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</row>
    <row r="17" spans="1:56" ht="15">
      <c r="A17" s="22"/>
      <c r="B17" s="23"/>
      <c r="C17" s="23"/>
      <c r="D17" s="23"/>
      <c r="E17" s="23"/>
      <c r="F17" s="23"/>
      <c r="G17" s="23"/>
      <c r="H17" s="23"/>
      <c r="I17" s="23"/>
      <c r="J17" s="2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</row>
    <row r="18" spans="1:56" ht="15">
      <c r="A18" s="22"/>
      <c r="B18" s="23"/>
      <c r="C18" s="23"/>
      <c r="D18" s="23"/>
      <c r="E18" s="23"/>
      <c r="F18" s="23"/>
      <c r="G18" s="23"/>
      <c r="H18" s="23"/>
      <c r="I18" s="23"/>
      <c r="J18" s="2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</row>
    <row r="19" spans="1:56" ht="15">
      <c r="A19" s="22"/>
      <c r="B19" s="23"/>
      <c r="C19" s="23"/>
      <c r="D19" s="23"/>
      <c r="E19" s="23"/>
      <c r="F19" s="23"/>
      <c r="G19" s="23"/>
      <c r="H19" s="23"/>
      <c r="I19" s="23"/>
      <c r="J19" s="2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1:56" ht="15">
      <c r="A20" s="22"/>
      <c r="B20" s="23"/>
      <c r="C20" s="23"/>
      <c r="D20" s="23"/>
      <c r="E20" s="23"/>
      <c r="F20" s="23"/>
      <c r="G20" s="23"/>
      <c r="H20" s="23"/>
      <c r="I20" s="23"/>
      <c r="J20" s="24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5">
      <c r="A21" s="22"/>
      <c r="B21" s="23"/>
      <c r="C21" s="23"/>
      <c r="D21" s="23"/>
      <c r="E21" s="23"/>
      <c r="F21" s="23"/>
      <c r="G21" s="23"/>
      <c r="H21" s="23"/>
      <c r="I21" s="23"/>
      <c r="J21" s="2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5">
      <c r="A22" s="22"/>
      <c r="B22" s="23"/>
      <c r="C22" s="23"/>
      <c r="D22" s="23"/>
      <c r="E22" s="23"/>
      <c r="F22" s="23"/>
      <c r="G22" s="23"/>
      <c r="H22" s="23"/>
      <c r="I22" s="23"/>
      <c r="J22" s="2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5">
      <c r="A23" s="22"/>
      <c r="B23" s="23"/>
      <c r="C23" s="23"/>
      <c r="D23" s="23"/>
      <c r="E23" s="23"/>
      <c r="F23" s="23"/>
      <c r="G23" s="23"/>
      <c r="H23" s="23"/>
      <c r="I23" s="23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ht="15">
      <c r="A24" s="22"/>
      <c r="B24" s="23"/>
      <c r="C24" s="23"/>
      <c r="D24" s="23"/>
      <c r="E24" s="23"/>
      <c r="F24" s="23"/>
      <c r="G24" s="23"/>
      <c r="H24" s="23"/>
      <c r="I24" s="23"/>
      <c r="J24" s="2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56" ht="15">
      <c r="A25" s="22"/>
      <c r="B25" s="23"/>
      <c r="C25" s="23"/>
      <c r="D25" s="23"/>
      <c r="E25" s="23"/>
      <c r="F25" s="23"/>
      <c r="G25" s="23"/>
      <c r="H25" s="23"/>
      <c r="I25" s="23"/>
      <c r="J25" s="2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56" ht="15">
      <c r="A26" s="22"/>
      <c r="B26" s="23"/>
      <c r="C26" s="23"/>
      <c r="D26" s="23"/>
      <c r="E26" s="23"/>
      <c r="F26" s="23"/>
      <c r="G26" s="23"/>
      <c r="H26" s="23"/>
      <c r="I26" s="23"/>
      <c r="J26" s="24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  <row r="27" spans="1:56" ht="15">
      <c r="A27" s="22"/>
      <c r="B27" s="23"/>
      <c r="C27" s="23"/>
      <c r="D27" s="23"/>
      <c r="E27" s="23"/>
      <c r="F27" s="23"/>
      <c r="G27" s="23"/>
      <c r="H27" s="23"/>
      <c r="I27" s="23"/>
      <c r="J27" s="24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1:56" ht="15">
      <c r="A28" s="22"/>
      <c r="B28" s="23"/>
      <c r="C28" s="23"/>
      <c r="D28" s="23"/>
      <c r="E28" s="23"/>
      <c r="F28" s="23"/>
      <c r="G28" s="23"/>
      <c r="H28" s="23"/>
      <c r="I28" s="23"/>
      <c r="J28" s="2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:56" ht="15">
      <c r="A29" s="22"/>
      <c r="B29" s="23"/>
      <c r="C29" s="23"/>
      <c r="D29" s="23"/>
      <c r="E29" s="23"/>
      <c r="F29" s="23"/>
      <c r="G29" s="23"/>
      <c r="H29" s="23"/>
      <c r="I29" s="23"/>
      <c r="J29" s="24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56" ht="15">
      <c r="A30" s="22"/>
      <c r="B30" s="23"/>
      <c r="C30" s="23"/>
      <c r="D30" s="23"/>
      <c r="E30" s="23"/>
      <c r="F30" s="23"/>
      <c r="G30" s="23"/>
      <c r="H30" s="23"/>
      <c r="I30" s="23"/>
      <c r="J30" s="24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56" ht="15.75" thickBot="1">
      <c r="A31" s="25" t="s">
        <v>82</v>
      </c>
      <c r="B31" s="26"/>
      <c r="C31" s="26"/>
      <c r="D31" s="26"/>
      <c r="E31" s="26"/>
      <c r="F31" s="26"/>
      <c r="G31" s="26"/>
      <c r="H31" s="26"/>
      <c r="I31" s="26"/>
      <c r="J31" s="2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</row>
    <row r="32" spans="1:56" ht="15.75" thickTop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</row>
    <row r="33" spans="1:56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</row>
    <row r="34" spans="1:56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</row>
    <row r="35" spans="1:56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</row>
    <row r="36" spans="1:56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</row>
    <row r="37" spans="1:56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</row>
    <row r="38" spans="1:56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</row>
    <row r="39" spans="1:56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</row>
    <row r="40" spans="1:56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</row>
    <row r="41" spans="1:56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</row>
    <row r="42" spans="1:56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</row>
    <row r="43" spans="1:56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</row>
    <row r="44" spans="1:56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</row>
    <row r="45" spans="1:56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6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1:56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</row>
    <row r="48" spans="1:52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1:52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1:52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1:52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2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1:52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1:52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1:52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1:52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1:52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2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1:52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1:52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1:52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1:52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1:52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1:52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1:52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  <row r="101" spans="1:52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  <row r="102" spans="1:52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</row>
    <row r="103" spans="1:52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</row>
    <row r="104" spans="1:52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</row>
    <row r="105" spans="1:52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</row>
    <row r="106" spans="1:52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</row>
    <row r="107" spans="1:52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</row>
    <row r="108" spans="1:52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</row>
    <row r="109" spans="1:52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</row>
    <row r="110" spans="1:52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</row>
    <row r="111" spans="1:52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</row>
    <row r="112" spans="1:52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</row>
    <row r="113" spans="1:52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</row>
    <row r="114" spans="1:52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</row>
    <row r="115" spans="1:52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</row>
    <row r="116" spans="1:52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</row>
    <row r="117" spans="1:52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</row>
    <row r="118" spans="1:52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</row>
    <row r="119" spans="1:52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</row>
    <row r="120" spans="1:52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</row>
    <row r="121" spans="1:52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</row>
    <row r="122" spans="1:52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</row>
    <row r="123" spans="1:52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</row>
    <row r="124" spans="1:52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</row>
    <row r="125" spans="1:52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</row>
    <row r="126" spans="1:52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</row>
    <row r="127" spans="1:52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</row>
    <row r="128" spans="1:52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</row>
    <row r="129" spans="1:52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</row>
    <row r="130" spans="1:52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</row>
    <row r="131" spans="1:52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</row>
    <row r="132" spans="1:52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</row>
    <row r="133" spans="1:52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</row>
    <row r="134" spans="1:52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</row>
    <row r="135" spans="1:52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</row>
    <row r="136" spans="1:52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</row>
    <row r="137" spans="1:52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</row>
    <row r="138" spans="1:52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</row>
    <row r="139" spans="1:52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</row>
    <row r="140" spans="1:52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</row>
    <row r="141" spans="1:52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</row>
  </sheetData>
  <sheetProtection sheet="1" objects="1" scenarios="1"/>
  <mergeCells count="1">
    <mergeCell ref="A1:J1"/>
  </mergeCells>
  <hyperlinks>
    <hyperlink ref="D12" location="Dízel!A1" display="Dízel-motoros szgk."/>
    <hyperlink ref="D13" location="Hibrid!A1" display="6/1990 (IV.12) KöHÉM rend alapján hybrid vagy elektromos szgk."/>
    <hyperlink ref="D14" location="Egyéb!A1" display="6/1990 (IV.12) KöHÉM rend alapján egyéb szgk."/>
    <hyperlink ref="D15" location="Motor!A1" display="Motorkerékpár"/>
    <hyperlink ref="D11" location="Benzin!A1" display="Otto-motoros szgk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28125" style="0" bestFit="1" customWidth="1"/>
    <col min="2" max="2" width="10.00390625" style="0" customWidth="1"/>
    <col min="3" max="3" width="4.57421875" style="0" customWidth="1"/>
    <col min="4" max="4" width="4.421875" style="0" customWidth="1"/>
    <col min="7" max="7" width="15.140625" style="0" bestFit="1" customWidth="1"/>
  </cols>
  <sheetData>
    <row r="1" spans="1:7" s="14" customFormat="1" ht="15.75">
      <c r="A1" s="34" t="s">
        <v>56</v>
      </c>
      <c r="B1" s="34"/>
      <c r="C1" s="34"/>
      <c r="D1" s="34"/>
      <c r="E1" s="34"/>
      <c r="F1" s="34"/>
      <c r="G1" s="34"/>
    </row>
    <row r="2" spans="6:7" ht="15">
      <c r="F2" t="s">
        <v>3</v>
      </c>
      <c r="G2">
        <f>LARGE(A!K2:K9,1)</f>
        <v>1020000</v>
      </c>
    </row>
    <row r="3" spans="1:7" ht="15">
      <c r="A3" t="s">
        <v>0</v>
      </c>
      <c r="B3" s="33">
        <f>Kalkulátor!D3</f>
        <v>1995</v>
      </c>
      <c r="C3" s="33"/>
      <c r="D3" s="33"/>
      <c r="F3" t="s">
        <v>4</v>
      </c>
      <c r="G3" s="12">
        <f>LARGE(K!C1:C18,1)</f>
        <v>0.41</v>
      </c>
    </row>
    <row r="4" spans="1:7" ht="15">
      <c r="A4" t="s">
        <v>1</v>
      </c>
      <c r="B4" s="11">
        <f>Kalkulátor!D5</f>
        <v>2008</v>
      </c>
      <c r="C4" s="11">
        <f>Kalkulátor!E5</f>
        <v>6</v>
      </c>
      <c r="D4" s="11">
        <f>Kalkulátor!F5</f>
        <v>24</v>
      </c>
      <c r="F4" t="s">
        <v>5</v>
      </c>
      <c r="G4" s="12">
        <f>K!B22-Benzin!G3</f>
        <v>0.08000000000000002</v>
      </c>
    </row>
    <row r="5" spans="1:7" ht="15">
      <c r="A5" t="s">
        <v>51</v>
      </c>
      <c r="B5" s="11">
        <f>Kalkulátor!D7</f>
        <v>2011</v>
      </c>
      <c r="C5" s="11">
        <f>Kalkulátor!E7</f>
        <v>11</v>
      </c>
      <c r="D5" s="11">
        <f>Kalkulátor!F7</f>
        <v>2</v>
      </c>
      <c r="F5" t="s">
        <v>6</v>
      </c>
      <c r="G5">
        <f>VLOOKUP(K!B22,K!F1:H18,3,FALSE)</f>
        <v>12</v>
      </c>
    </row>
    <row r="6" spans="1:7" ht="15">
      <c r="A6" t="s">
        <v>2</v>
      </c>
      <c r="B6" s="33">
        <f>Kalkulátor!D9</f>
        <v>10</v>
      </c>
      <c r="C6" s="33"/>
      <c r="D6" s="33"/>
      <c r="F6" t="s">
        <v>7</v>
      </c>
      <c r="G6" s="11">
        <f>IF(K!B21&gt;=169,12,K!B21-K!B23)</f>
        <v>6</v>
      </c>
    </row>
    <row r="8" spans="1:2" ht="15">
      <c r="A8" t="s">
        <v>55</v>
      </c>
      <c r="B8" s="13">
        <f>G2*(1-G3-G4*G6/G5)</f>
        <v>561000</v>
      </c>
    </row>
    <row r="10" ht="18.75">
      <c r="A10" s="7"/>
    </row>
    <row r="11" ht="15">
      <c r="A11" s="15" t="s">
        <v>81</v>
      </c>
    </row>
    <row r="20" ht="18.75">
      <c r="A20" s="8"/>
    </row>
    <row r="29" ht="18.75">
      <c r="A29" s="8"/>
    </row>
  </sheetData>
  <sheetProtection sheet="1" objects="1" scenarios="1"/>
  <mergeCells count="3">
    <mergeCell ref="B3:D3"/>
    <mergeCell ref="B6:D6"/>
    <mergeCell ref="A1:G1"/>
  </mergeCells>
  <hyperlinks>
    <hyperlink ref="A11" location="Kalkulátor!A1" display="új számítá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28125" style="0" bestFit="1" customWidth="1"/>
    <col min="2" max="2" width="12.140625" style="0" bestFit="1" customWidth="1"/>
  </cols>
  <sheetData>
    <row r="1" spans="1:7" ht="15.75">
      <c r="A1" s="34" t="s">
        <v>57</v>
      </c>
      <c r="B1" s="34"/>
      <c r="C1" s="34"/>
      <c r="D1" s="34"/>
      <c r="E1" s="34"/>
      <c r="F1" s="34"/>
      <c r="G1" s="34"/>
    </row>
    <row r="2" spans="6:7" ht="15">
      <c r="F2" t="s">
        <v>3</v>
      </c>
      <c r="G2">
        <f>LARGE(A!O2:O9,1)</f>
        <v>743000</v>
      </c>
    </row>
    <row r="3" spans="1:7" ht="15">
      <c r="A3" t="s">
        <v>0</v>
      </c>
      <c r="B3" s="33">
        <f>Kalkulátor!D3</f>
        <v>1995</v>
      </c>
      <c r="C3" s="33"/>
      <c r="D3" s="33"/>
      <c r="F3" t="s">
        <v>4</v>
      </c>
      <c r="G3" s="12">
        <f>Benzin!G3</f>
        <v>0.41</v>
      </c>
    </row>
    <row r="4" spans="1:7" ht="15">
      <c r="A4" t="s">
        <v>1</v>
      </c>
      <c r="B4" s="11">
        <f>Kalkulátor!D5</f>
        <v>2008</v>
      </c>
      <c r="C4" s="11">
        <f>Kalkulátor!E5</f>
        <v>6</v>
      </c>
      <c r="D4" s="11">
        <f>Kalkulátor!F5</f>
        <v>24</v>
      </c>
      <c r="F4" t="s">
        <v>5</v>
      </c>
      <c r="G4" s="12">
        <f>Benzin!G4</f>
        <v>0.08000000000000002</v>
      </c>
    </row>
    <row r="5" spans="1:7" ht="15">
      <c r="A5" t="s">
        <v>51</v>
      </c>
      <c r="B5" s="11">
        <f>Kalkulátor!D7</f>
        <v>2011</v>
      </c>
      <c r="C5" s="11">
        <f>Kalkulátor!E7</f>
        <v>11</v>
      </c>
      <c r="D5" s="11">
        <f>Kalkulátor!F7</f>
        <v>2</v>
      </c>
      <c r="F5" t="s">
        <v>6</v>
      </c>
      <c r="G5">
        <f>Benzin!G5</f>
        <v>12</v>
      </c>
    </row>
    <row r="6" spans="1:7" ht="15">
      <c r="A6" t="s">
        <v>2</v>
      </c>
      <c r="B6" s="33">
        <f>Kalkulátor!D9</f>
        <v>10</v>
      </c>
      <c r="C6" s="33"/>
      <c r="D6" s="33"/>
      <c r="F6" t="s">
        <v>7</v>
      </c>
      <c r="G6" s="11">
        <f>Benzin!G6</f>
        <v>6</v>
      </c>
    </row>
    <row r="8" spans="1:2" ht="15">
      <c r="A8" t="s">
        <v>55</v>
      </c>
      <c r="B8" s="13">
        <f>G2*(1-G3-G4*G6/G5)</f>
        <v>408650.00000000006</v>
      </c>
    </row>
    <row r="11" ht="15">
      <c r="A11" s="15" t="s">
        <v>81</v>
      </c>
    </row>
  </sheetData>
  <sheetProtection sheet="1" objects="1" scenarios="1"/>
  <mergeCells count="3">
    <mergeCell ref="B3:D3"/>
    <mergeCell ref="B6:D6"/>
    <mergeCell ref="A1:G1"/>
  </mergeCells>
  <hyperlinks>
    <hyperlink ref="A11" location="Kalkulátor!A1" display="új számítá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28125" style="0" bestFit="1" customWidth="1"/>
    <col min="2" max="2" width="11.7109375" style="0" customWidth="1"/>
    <col min="7" max="7" width="9.57421875" style="0" bestFit="1" customWidth="1"/>
  </cols>
  <sheetData>
    <row r="1" spans="1:7" ht="15.75">
      <c r="A1" s="34" t="s">
        <v>69</v>
      </c>
      <c r="B1" s="34"/>
      <c r="C1" s="34"/>
      <c r="D1" s="34"/>
      <c r="E1" s="34"/>
      <c r="F1" s="34"/>
      <c r="G1" s="34"/>
    </row>
    <row r="2" spans="6:7" ht="15">
      <c r="F2" t="s">
        <v>3</v>
      </c>
      <c r="G2" s="11">
        <f>A!C10</f>
        <v>190000</v>
      </c>
    </row>
    <row r="3" spans="1:7" ht="15">
      <c r="A3" t="s">
        <v>1</v>
      </c>
      <c r="B3" s="11">
        <f>Kalkulátor!D5</f>
        <v>2008</v>
      </c>
      <c r="C3" s="11">
        <f>Kalkulátor!E5</f>
        <v>6</v>
      </c>
      <c r="D3" s="11">
        <f>Kalkulátor!F5</f>
        <v>24</v>
      </c>
      <c r="F3" t="s">
        <v>4</v>
      </c>
      <c r="G3" s="12">
        <f>Benzin!G3</f>
        <v>0.41</v>
      </c>
    </row>
    <row r="4" spans="1:7" ht="15">
      <c r="A4" t="s">
        <v>51</v>
      </c>
      <c r="B4" s="11">
        <f>Kalkulátor!D7</f>
        <v>2011</v>
      </c>
      <c r="C4" s="11">
        <f>Kalkulátor!E7</f>
        <v>11</v>
      </c>
      <c r="D4" s="11">
        <f>Kalkulátor!F7</f>
        <v>2</v>
      </c>
      <c r="F4" t="s">
        <v>5</v>
      </c>
      <c r="G4" s="12">
        <f>Benzin!G4</f>
        <v>0.08000000000000002</v>
      </c>
    </row>
    <row r="5" spans="6:7" ht="15">
      <c r="F5" t="s">
        <v>6</v>
      </c>
      <c r="G5">
        <f>Benzin!G5</f>
        <v>12</v>
      </c>
    </row>
    <row r="6" spans="2:7" ht="15">
      <c r="B6" s="33"/>
      <c r="C6" s="33"/>
      <c r="D6" s="33"/>
      <c r="F6" t="s">
        <v>7</v>
      </c>
      <c r="G6" s="11">
        <f>Benzin!G6</f>
        <v>6</v>
      </c>
    </row>
    <row r="8" spans="1:2" ht="15">
      <c r="A8" t="s">
        <v>55</v>
      </c>
      <c r="B8" s="13">
        <f>G2*(1-G3-G4*G6/G5)</f>
        <v>104500.00000000001</v>
      </c>
    </row>
    <row r="11" ht="15">
      <c r="A11" s="15" t="s">
        <v>81</v>
      </c>
    </row>
  </sheetData>
  <sheetProtection sheet="1" objects="1" scenarios="1"/>
  <mergeCells count="2">
    <mergeCell ref="A1:G1"/>
    <mergeCell ref="B6:D6"/>
  </mergeCells>
  <hyperlinks>
    <hyperlink ref="A11" location="Kalkulátor!A1" display="új számítá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1.28125" style="0" bestFit="1" customWidth="1"/>
    <col min="2" max="2" width="10.7109375" style="0" customWidth="1"/>
  </cols>
  <sheetData>
    <row r="1" spans="1:7" ht="15.75">
      <c r="A1" s="34" t="s">
        <v>70</v>
      </c>
      <c r="B1" s="34"/>
      <c r="C1" s="34"/>
      <c r="D1" s="34"/>
      <c r="E1" s="34"/>
      <c r="F1" s="34"/>
      <c r="G1" s="34"/>
    </row>
    <row r="2" spans="6:7" ht="15">
      <c r="F2" t="s">
        <v>3</v>
      </c>
      <c r="G2" s="11">
        <f>A!C11</f>
        <v>380000</v>
      </c>
    </row>
    <row r="3" spans="1:7" ht="15">
      <c r="A3" t="s">
        <v>1</v>
      </c>
      <c r="B3" s="11">
        <f>Kalkulátor!D5</f>
        <v>2008</v>
      </c>
      <c r="C3" s="11">
        <f>Kalkulátor!E5</f>
        <v>6</v>
      </c>
      <c r="D3" s="11">
        <f>Kalkulátor!F5</f>
        <v>24</v>
      </c>
      <c r="F3" t="s">
        <v>4</v>
      </c>
      <c r="G3" s="12">
        <f>Benzin!G3</f>
        <v>0.41</v>
      </c>
    </row>
    <row r="4" spans="1:7" ht="15">
      <c r="A4" t="s">
        <v>51</v>
      </c>
      <c r="B4" s="11">
        <f>Kalkulátor!D7</f>
        <v>2011</v>
      </c>
      <c r="C4" s="11">
        <f>Kalkulátor!E7</f>
        <v>11</v>
      </c>
      <c r="D4" s="11">
        <f>Kalkulátor!F7</f>
        <v>2</v>
      </c>
      <c r="F4" t="s">
        <v>5</v>
      </c>
      <c r="G4" s="12">
        <f>Benzin!G4</f>
        <v>0.08000000000000002</v>
      </c>
    </row>
    <row r="5" spans="6:7" ht="15">
      <c r="F5" t="s">
        <v>6</v>
      </c>
      <c r="G5">
        <f>Benzin!G5</f>
        <v>12</v>
      </c>
    </row>
    <row r="6" spans="2:7" ht="15">
      <c r="B6" s="33"/>
      <c r="C6" s="33"/>
      <c r="D6" s="33"/>
      <c r="F6" t="s">
        <v>7</v>
      </c>
      <c r="G6" s="11">
        <f>Benzin!G6</f>
        <v>6</v>
      </c>
    </row>
    <row r="8" spans="1:2" ht="15">
      <c r="A8" t="s">
        <v>55</v>
      </c>
      <c r="B8" s="13">
        <f>G2*(1-G3-G4*G6/G5)</f>
        <v>209000.00000000003</v>
      </c>
    </row>
    <row r="11" ht="15">
      <c r="A11" s="15" t="s">
        <v>81</v>
      </c>
    </row>
  </sheetData>
  <sheetProtection sheet="1" objects="1" scenarios="1"/>
  <mergeCells count="2">
    <mergeCell ref="A1:G1"/>
    <mergeCell ref="B6:D6"/>
  </mergeCells>
  <hyperlinks>
    <hyperlink ref="A11" location="Kalkulátor!A1" display="új számítás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1"/>
    </sheetView>
  </sheetViews>
  <sheetFormatPr defaultColWidth="9.140625" defaultRowHeight="15"/>
  <cols>
    <col min="1" max="1" width="31.28125" style="0" bestFit="1" customWidth="1"/>
    <col min="2" max="2" width="9.57421875" style="0" bestFit="1" customWidth="1"/>
    <col min="3" max="3" width="5.140625" style="0" customWidth="1"/>
    <col min="4" max="4" width="6.140625" style="0" customWidth="1"/>
  </cols>
  <sheetData>
    <row r="1" spans="1:7" ht="15.75">
      <c r="A1" s="34" t="s">
        <v>64</v>
      </c>
      <c r="B1" s="34"/>
      <c r="C1" s="34"/>
      <c r="D1" s="34"/>
      <c r="E1" s="34"/>
      <c r="F1" s="34"/>
      <c r="G1" s="34"/>
    </row>
    <row r="2" spans="6:7" ht="15">
      <c r="F2" t="s">
        <v>3</v>
      </c>
      <c r="G2">
        <f>LARGE(A!I14:I18,1)</f>
        <v>230000</v>
      </c>
    </row>
    <row r="3" spans="1:7" ht="15">
      <c r="A3" t="s">
        <v>0</v>
      </c>
      <c r="B3" s="33">
        <f>Kalkulátor!D3</f>
        <v>1995</v>
      </c>
      <c r="C3" s="33"/>
      <c r="D3" s="33"/>
      <c r="F3" t="s">
        <v>4</v>
      </c>
      <c r="G3" s="12">
        <f>Benzin!G3</f>
        <v>0.41</v>
      </c>
    </row>
    <row r="4" spans="1:7" ht="15">
      <c r="A4" t="s">
        <v>1</v>
      </c>
      <c r="B4" s="11">
        <f>Kalkulátor!D5</f>
        <v>2008</v>
      </c>
      <c r="C4" s="11">
        <f>Kalkulátor!E5</f>
        <v>6</v>
      </c>
      <c r="D4" s="11">
        <f>Kalkulátor!F5</f>
        <v>24</v>
      </c>
      <c r="F4" t="s">
        <v>5</v>
      </c>
      <c r="G4" s="12">
        <f>Benzin!G4</f>
        <v>0.08000000000000002</v>
      </c>
    </row>
    <row r="5" spans="1:7" ht="15">
      <c r="A5" t="s">
        <v>51</v>
      </c>
      <c r="B5" s="11">
        <f>Kalkulátor!D7</f>
        <v>2011</v>
      </c>
      <c r="C5" s="11">
        <f>Kalkulátor!E7</f>
        <v>11</v>
      </c>
      <c r="D5" s="11">
        <f>Kalkulátor!F7</f>
        <v>2</v>
      </c>
      <c r="F5" t="s">
        <v>6</v>
      </c>
      <c r="G5">
        <f>Benzin!G5</f>
        <v>12</v>
      </c>
    </row>
    <row r="6" spans="1:7" ht="15">
      <c r="A6" t="s">
        <v>2</v>
      </c>
      <c r="B6" s="33">
        <f>Kalkulátor!D9</f>
        <v>10</v>
      </c>
      <c r="C6" s="33"/>
      <c r="D6" s="33"/>
      <c r="F6" t="s">
        <v>7</v>
      </c>
      <c r="G6" s="11">
        <f>Benzin!G6</f>
        <v>6</v>
      </c>
    </row>
    <row r="8" spans="1:2" ht="15">
      <c r="A8" t="s">
        <v>55</v>
      </c>
      <c r="B8" s="13">
        <f>G2*(1-G3-G4*G6/G5)</f>
        <v>126500.00000000001</v>
      </c>
    </row>
    <row r="11" ht="15">
      <c r="A11" s="15" t="s">
        <v>81</v>
      </c>
    </row>
  </sheetData>
  <sheetProtection sheet="1" objects="1" scenarios="1"/>
  <mergeCells count="3">
    <mergeCell ref="A1:G1"/>
    <mergeCell ref="B3:D3"/>
    <mergeCell ref="B6:D6"/>
  </mergeCells>
  <hyperlinks>
    <hyperlink ref="A11" location="Kalkulátor!A1" display="új számítás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9">
      <selection activeCell="E18" sqref="E18"/>
    </sheetView>
  </sheetViews>
  <sheetFormatPr defaultColWidth="9.140625" defaultRowHeight="15"/>
  <cols>
    <col min="1" max="1" width="9.140625" style="0" customWidth="1"/>
    <col min="2" max="2" width="28.7109375" style="0" customWidth="1"/>
    <col min="6" max="6" width="15.57421875" style="0" bestFit="1" customWidth="1"/>
  </cols>
  <sheetData>
    <row r="1" spans="1:13" ht="23.25" customHeight="1" thickBot="1">
      <c r="A1" s="3"/>
      <c r="B1" s="5"/>
      <c r="C1" s="6">
        <v>8</v>
      </c>
      <c r="D1" s="6" t="s">
        <v>48</v>
      </c>
      <c r="E1" s="6">
        <v>4</v>
      </c>
      <c r="F1" s="6">
        <v>4</v>
      </c>
      <c r="H1" s="33" t="s">
        <v>49</v>
      </c>
      <c r="I1" s="33"/>
      <c r="L1" s="33" t="s">
        <v>50</v>
      </c>
      <c r="M1" s="33"/>
    </row>
    <row r="2" spans="1:15" ht="54" thickBot="1">
      <c r="A2" s="2">
        <v>1</v>
      </c>
      <c r="B2" s="1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H2">
        <v>1100</v>
      </c>
      <c r="J2" t="b">
        <f>IF(Benzin!B3&lt;=A!H2,A2)</f>
        <v>0</v>
      </c>
      <c r="K2">
        <f>IF(AND(A!J2=1,Benzin!B6&gt;8),250000,IF(AND(A!J2=1,AND(Benzin!B6&gt;=6,Benzin!B6&lt;=8)),372000,IF(AND(A!J2=1,Benzin!B6=4),499000,IF(AND(A!J2=1,Benzin!B6&lt;4),749000,))))</f>
        <v>0</v>
      </c>
      <c r="L2">
        <v>1300</v>
      </c>
      <c r="N2" t="b">
        <f>IF(Dízel!$B$3&lt;=A!L2,$A2)</f>
        <v>0</v>
      </c>
      <c r="O2">
        <f>IF(AND(A!N2=1,Dízel!$B$6&gt;8),250000,IF(AND(A!N2=1,AND(Dízel!$B$6&gt;=6,Dízel!$B$6&lt;=8)),372000,IF(AND(A!N2=1,Dízel!$B$6=4),499000,IF(AND(A!N2=1,Dízel!$B$6&lt;4),749000,))))</f>
        <v>0</v>
      </c>
    </row>
    <row r="3" spans="1:15" ht="69.75" thickBot="1">
      <c r="A3" s="2">
        <v>2</v>
      </c>
      <c r="B3" s="1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H3">
        <v>1101</v>
      </c>
      <c r="I3">
        <v>1400</v>
      </c>
      <c r="J3" t="b">
        <f>IF(AND(Benzin!B3&gt;=A!H3,Benzin!B3&lt;=A!I3),A3)</f>
        <v>0</v>
      </c>
      <c r="K3">
        <f>IF(AND(A!J3=2,Benzin!B6&gt;8),361000,IF(AND(A!J3=2,AND(Benzin!B6&gt;=6,Benzin!B6&lt;=8)),542000,IF(AND(A!J3=2,Benzin!B6=4),722000,IF(AND(A!J3=2,Benzin!B6&lt;4),1083000,))))</f>
        <v>0</v>
      </c>
      <c r="L3">
        <v>1301</v>
      </c>
      <c r="M3">
        <v>1500</v>
      </c>
      <c r="N3" t="b">
        <f>IF(AND(Dízel!$B$3&gt;=A!L3,Dízel!$B$3&lt;=A!M3),$A3)</f>
        <v>0</v>
      </c>
      <c r="O3">
        <f>IF(AND(A!N3=2,Dízel!B6&gt;8),361000,IF(AND(A!N3=2,AND(Dízel!B6&gt;=6,Dízel!B6&lt;=8)),542000,IF(AND(A!N3=2,Dízel!B6=4),722000,IF(AND(A!N3=2,Dízel!B6&lt;4),1083000,))))</f>
        <v>0</v>
      </c>
    </row>
    <row r="4" spans="1:15" ht="69.75" thickBot="1">
      <c r="A4" s="2">
        <v>3</v>
      </c>
      <c r="B4" s="1" t="s">
        <v>18</v>
      </c>
      <c r="C4" s="4" t="s">
        <v>19</v>
      </c>
      <c r="D4" s="4" t="s">
        <v>16</v>
      </c>
      <c r="E4" s="4" t="s">
        <v>20</v>
      </c>
      <c r="F4" s="4" t="s">
        <v>21</v>
      </c>
      <c r="H4">
        <v>1401</v>
      </c>
      <c r="I4">
        <v>1600</v>
      </c>
      <c r="J4" t="b">
        <f>IF(AND(Benzin!B3&gt;=A!H4,Benzin!B3&lt;=A!I4),A4)</f>
        <v>0</v>
      </c>
      <c r="K4">
        <f>IF(AND(A!J4=3,Benzin!B6&gt;8),478000,IF(AND(A!J4=3,AND(Benzin!B6&gt;=6,Benzin!B6&lt;=8)),722000,IF(AND(A!J4=3,Benzin!B6=4),966000,IF(AND(A!J4=3,Benzin!B6&lt;4),1434000,))))</f>
        <v>0</v>
      </c>
      <c r="L4">
        <v>1501</v>
      </c>
      <c r="M4">
        <v>1700</v>
      </c>
      <c r="N4" t="b">
        <f>IF(AND(Dízel!$B$3&gt;=A!L4,Dízel!$B$3&lt;=A!M4),$A4)</f>
        <v>0</v>
      </c>
      <c r="O4">
        <f>IF(AND(A!N4=3,Dízel!B6&gt;8),478000,IF(AND(A!N4=3,AND(Dízel!B6&gt;=6,Dízel!B6&lt;=8)),722000,IF(AND(A!N4=3,Dízel!B6=4),966000,IF(AND(A!N4=3,Dízel!B6&lt;4),1434000,))))</f>
        <v>0</v>
      </c>
    </row>
    <row r="5" spans="1:15" ht="69.75" thickBot="1">
      <c r="A5" s="2">
        <v>4</v>
      </c>
      <c r="B5" s="1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H5">
        <v>1601</v>
      </c>
      <c r="I5">
        <v>1800</v>
      </c>
      <c r="J5" t="b">
        <f>IF(AND(Benzin!B3&gt;=A!H5,Benzin!B3&lt;=A!I5),A5)</f>
        <v>0</v>
      </c>
      <c r="K5">
        <f>IF(AND(A!J5=4,Benzin!B6&gt;8),743000,IF(AND(A!J5=4,AND(Benzin!B6&gt;=6,Benzin!B6&lt;=8)),1104000,IF(AND(A!J5=4,Benzin!B6=4),1476000,IF(AND(A!J5=4,Benzin!B6&lt;4),2230000,))))</f>
        <v>0</v>
      </c>
      <c r="L5">
        <v>1701</v>
      </c>
      <c r="M5">
        <v>2000</v>
      </c>
      <c r="N5">
        <f>IF(AND(Dízel!$B$3&gt;=A!L5,Dízel!$B$3&lt;=A!M5),$A5)</f>
        <v>4</v>
      </c>
      <c r="O5">
        <f>IF(AND(A!N5=4,Dízel!B6&gt;8),743000,IF(AND(A!N5=4,AND(Dízel!B6&gt;=6,Dízel!B6&lt;=8)),1104000,IF(AND(A!N5=4,Dízel!B6=4),1476000,IF(AND(A!N5=4,Dízel!B6&lt;4),2230000,))))</f>
        <v>743000</v>
      </c>
    </row>
    <row r="6" spans="1:15" ht="69.75" thickBot="1">
      <c r="A6" s="2">
        <v>5</v>
      </c>
      <c r="B6" s="1" t="s">
        <v>27</v>
      </c>
      <c r="C6" s="4" t="s">
        <v>28</v>
      </c>
      <c r="D6" s="4" t="s">
        <v>29</v>
      </c>
      <c r="E6" s="4" t="s">
        <v>30</v>
      </c>
      <c r="F6" s="4" t="s">
        <v>31</v>
      </c>
      <c r="H6">
        <v>1801</v>
      </c>
      <c r="I6">
        <v>2000</v>
      </c>
      <c r="J6">
        <f>IF(AND(Benzin!B3&gt;=A!H6,Benzin!B3&lt;=A!I6),A6)</f>
        <v>5</v>
      </c>
      <c r="K6">
        <f>IF(AND(A!J6=5,Benzin!B6&gt;8),1020000,IF(AND(A!J6=5,AND(Benzin!B6&gt;=6,Benzin!B6&lt;=8)),1529000,IF(AND(A!J6=5,Benzin!B6=4),2039000,IF(AND(A!J6=5,Benzin!B6&lt;4),3059000,))))</f>
        <v>1020000</v>
      </c>
      <c r="L6">
        <v>2001</v>
      </c>
      <c r="M6">
        <v>2500</v>
      </c>
      <c r="N6" t="b">
        <f>IF(AND(Dízel!$B$3&gt;=A!L6,Dízel!$B$3&lt;=A!M6),$A6)</f>
        <v>0</v>
      </c>
      <c r="O6">
        <f>IF(AND(A!N6=5,Dízel!B6&gt;8),1020000,IF(AND(A!N6=5,AND(Dízel!B6&gt;=6,Dízel!B6&lt;=8)),1529000,IF(AND(A!N6=5,Dízel!B6=4),2039000,IF(AND(A!N6=5,Dízel!B6&lt;4),3059000,))))</f>
        <v>0</v>
      </c>
    </row>
    <row r="7" spans="1:15" ht="69.75" thickBot="1">
      <c r="A7" s="2">
        <v>6</v>
      </c>
      <c r="B7" s="1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H7">
        <v>2001</v>
      </c>
      <c r="I7">
        <v>2500</v>
      </c>
      <c r="J7" t="b">
        <f>IF(AND(Benzin!B3&gt;=A!H7,Benzin!B3&lt;=A!I7),A7)</f>
        <v>0</v>
      </c>
      <c r="K7">
        <f>IF(AND(A!J7=6,Benzin!B6&gt;8),1466000,IF(AND(A!J7=6,AND(Benzin!B6&gt;=6,Benzin!B6&lt;=8)),2198000,IF(AND(A!J7=6,Benzin!B6=4),2931000,IF(AND(A!J7=6,Benzin!B6&lt;4),4397000,))))</f>
        <v>0</v>
      </c>
      <c r="L7">
        <v>2501</v>
      </c>
      <c r="M7">
        <v>3000</v>
      </c>
      <c r="N7" t="b">
        <f>IF(AND(Dízel!$B$3&gt;=A!L7,Dízel!$B$3&lt;=A!M7),$A7)</f>
        <v>0</v>
      </c>
      <c r="O7">
        <f>IF(AND(A!N7=6,Dízel!B6&gt;8),1466000,IF(AND(A!N7=6,AND(Dízel!B6&gt;=6,Dízel!B6&lt;=8)),2198000,IF(AND(A!N7=6,Dízel!B6=4),2931000,IF(AND(A!N7=6,Dízel!B6&lt;4),4397000,))))</f>
        <v>0</v>
      </c>
    </row>
    <row r="8" spans="1:15" ht="69.75" thickBot="1">
      <c r="A8" s="2">
        <v>7</v>
      </c>
      <c r="B8" s="1" t="s">
        <v>37</v>
      </c>
      <c r="C8" s="4" t="s">
        <v>26</v>
      </c>
      <c r="D8" s="4" t="s">
        <v>38</v>
      </c>
      <c r="E8" s="4" t="s">
        <v>39</v>
      </c>
      <c r="F8" s="4" t="s">
        <v>40</v>
      </c>
      <c r="H8">
        <v>2501</v>
      </c>
      <c r="I8">
        <v>3000</v>
      </c>
      <c r="J8" t="b">
        <f>IF(AND(Benzin!B3&gt;=A!H8,Benzin!B3&lt;=A!I8),A8)</f>
        <v>0</v>
      </c>
      <c r="K8">
        <f>IF(AND(A!J8=7,Benzin!B6&gt;8),2230000,IF(AND(A!J8=7,AND(Benzin!B6&gt;=6,Benzin!B6&lt;=8)),3345000,IF(AND(A!J8=7,Benzin!B6=4),4460000,IF(AND(A!J8=7,Benzin!B6&lt;4),6691000,))))</f>
        <v>0</v>
      </c>
      <c r="L8">
        <v>3001</v>
      </c>
      <c r="M8">
        <v>3500</v>
      </c>
      <c r="N8" t="b">
        <f>IF(AND(Dízel!$B$3&gt;=A!L8,Dízel!$B$3&lt;=A!M8),$A8)</f>
        <v>0</v>
      </c>
      <c r="O8">
        <f>IF(AND(A!N8=7,Dízel!B6&gt;8),2230000,IF(AND(A!N8=7,AND(Dízel!B6&gt;=6,Dízel!B6&lt;=8)),3345000,IF(AND(A!N8=7,Dízel!B6=4),4460000,IF(AND(A!N8=7,Dízel!B6&lt;4),6691000,))))</f>
        <v>0</v>
      </c>
    </row>
    <row r="9" spans="1:15" ht="69.75" thickBot="1">
      <c r="A9" s="2">
        <v>8</v>
      </c>
      <c r="B9" s="1" t="s">
        <v>41</v>
      </c>
      <c r="C9" s="4" t="s">
        <v>42</v>
      </c>
      <c r="D9" s="4" t="s">
        <v>43</v>
      </c>
      <c r="E9" s="4" t="s">
        <v>44</v>
      </c>
      <c r="F9" s="4" t="s">
        <v>45</v>
      </c>
      <c r="H9">
        <v>3000</v>
      </c>
      <c r="J9" t="b">
        <f>IF(Benzin!B3&gt;=A!H9,A9)</f>
        <v>0</v>
      </c>
      <c r="K9">
        <f>IF(AND(A!J9=8,Benzin!B6&gt;8),3207000,IF(AND(A!J9=8,AND(Benzin!B6&gt;=6,Benzin!B6&lt;=8)),4821000,IF(AND(A!J9=8,Benzin!B6=4),6425000,IF(AND(A!J9=8,Benzin!B6&lt;4),9622000,))))</f>
        <v>0</v>
      </c>
      <c r="L9">
        <v>3500</v>
      </c>
      <c r="N9" t="b">
        <f>IF(Dízel!B3&gt;=A!L9,A9)</f>
        <v>0</v>
      </c>
      <c r="O9">
        <f>IF(AND(A!N9=8,Dízel!B6&gt;8),3207000,IF(AND(A!N9=8,AND(Dízel!B6&gt;=6,Dízel!B6&lt;=8)),4821000,IF(AND(A!N9=8,Dízel!B6=4),6425000,IF(AND(A!N9=8,Dízel!B6&lt;4),9622000,))))</f>
        <v>0</v>
      </c>
    </row>
    <row r="10" spans="1:6" ht="142.5" thickBot="1">
      <c r="A10" s="2">
        <v>9</v>
      </c>
      <c r="B10" s="1" t="s">
        <v>46</v>
      </c>
      <c r="C10" s="35">
        <v>190000</v>
      </c>
      <c r="D10" s="36"/>
      <c r="E10" s="36"/>
      <c r="F10" s="37"/>
    </row>
    <row r="11" spans="1:6" ht="95.25" thickBot="1">
      <c r="A11" s="2">
        <v>10</v>
      </c>
      <c r="B11" s="1" t="s">
        <v>47</v>
      </c>
      <c r="C11" s="35">
        <v>380000</v>
      </c>
      <c r="D11" s="36"/>
      <c r="E11" s="36"/>
      <c r="F11" s="37"/>
    </row>
    <row r="13" ht="15.75" thickBot="1"/>
    <row r="14" spans="1:9" ht="32.25" thickBot="1">
      <c r="A14" s="2">
        <v>1</v>
      </c>
      <c r="B14" s="1" t="s">
        <v>71</v>
      </c>
      <c r="C14" s="16" t="s">
        <v>72</v>
      </c>
      <c r="H14">
        <v>80</v>
      </c>
      <c r="I14">
        <f>IF(Motor!$B$3&lt;A!H14,20000,0)</f>
        <v>0</v>
      </c>
    </row>
    <row r="15" spans="1:9" ht="32.25" thickBot="1">
      <c r="A15" s="2">
        <v>2</v>
      </c>
      <c r="B15" s="1" t="s">
        <v>73</v>
      </c>
      <c r="C15" s="16" t="s">
        <v>74</v>
      </c>
      <c r="G15">
        <v>81</v>
      </c>
      <c r="H15">
        <v>125</v>
      </c>
      <c r="I15">
        <f>IF(AND(Motor!$B$3&gt;=A!G15,Motor!$B$3&lt;=A!H15),95000,0)</f>
        <v>0</v>
      </c>
    </row>
    <row r="16" spans="1:9" ht="32.25" thickBot="1">
      <c r="A16" s="2">
        <v>3</v>
      </c>
      <c r="B16" s="1" t="s">
        <v>75</v>
      </c>
      <c r="C16" s="16" t="s">
        <v>76</v>
      </c>
      <c r="G16">
        <v>126</v>
      </c>
      <c r="H16">
        <v>500</v>
      </c>
      <c r="I16">
        <f>IF(AND(Motor!$B$3&gt;=A!G16,Motor!$B$3&lt;=A!H16),135000,0)</f>
        <v>0</v>
      </c>
    </row>
    <row r="17" spans="1:9" ht="32.25" thickBot="1">
      <c r="A17" s="2">
        <v>4</v>
      </c>
      <c r="B17" s="1" t="s">
        <v>77</v>
      </c>
      <c r="C17" s="16" t="s">
        <v>78</v>
      </c>
      <c r="G17">
        <v>501</v>
      </c>
      <c r="H17">
        <v>900</v>
      </c>
      <c r="I17">
        <f>IF(AND(Motor!$B$3&gt;=A!G17,Motor!$B$3&lt;=A!H17),180000,0)</f>
        <v>0</v>
      </c>
    </row>
    <row r="18" spans="1:9" ht="32.25" thickBot="1">
      <c r="A18" s="2">
        <v>5</v>
      </c>
      <c r="B18" s="1" t="s">
        <v>79</v>
      </c>
      <c r="C18" s="16" t="s">
        <v>80</v>
      </c>
      <c r="G18">
        <v>901</v>
      </c>
      <c r="I18">
        <f>IF(Motor!$B$3&gt;=A!G18,230000,0)</f>
        <v>230000</v>
      </c>
    </row>
  </sheetData>
  <sheetProtection password="F203" sheet="1" objects="1" scenarios="1"/>
  <mergeCells count="4">
    <mergeCell ref="C10:F10"/>
    <mergeCell ref="C11:F11"/>
    <mergeCell ref="H1:I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6" sqref="F26:F27"/>
    </sheetView>
  </sheetViews>
  <sheetFormatPr defaultColWidth="9.140625" defaultRowHeight="15"/>
  <cols>
    <col min="2" max="2" width="10.140625" style="0" bestFit="1" customWidth="1"/>
  </cols>
  <sheetData>
    <row r="1" spans="1:8" ht="15">
      <c r="A1" s="9"/>
      <c r="B1" s="9">
        <v>2</v>
      </c>
      <c r="C1">
        <f>IF(B21&lt;=B1,0,0)</f>
        <v>0</v>
      </c>
      <c r="D1" s="10">
        <v>0.06</v>
      </c>
      <c r="F1">
        <f>IF(B21&lt;=B1,D1,0)</f>
        <v>0</v>
      </c>
      <c r="H1">
        <f>B1-A1</f>
        <v>2</v>
      </c>
    </row>
    <row r="2" spans="1:8" ht="15">
      <c r="A2" s="9">
        <v>3</v>
      </c>
      <c r="B2" s="9">
        <v>4</v>
      </c>
      <c r="C2">
        <f>IF(AND(B21&gt;=A2,B21&lt;=B2),D1,0)</f>
        <v>0</v>
      </c>
      <c r="D2" s="10">
        <v>0.1</v>
      </c>
      <c r="F2">
        <f>IF(AND(B21&gt;=A2,B21&lt;=B2),D2,0)</f>
        <v>0</v>
      </c>
      <c r="G2" s="9">
        <v>2</v>
      </c>
      <c r="H2">
        <f>(B2-A2)+1</f>
        <v>2</v>
      </c>
    </row>
    <row r="3" spans="1:8" ht="15">
      <c r="A3" s="9">
        <v>5</v>
      </c>
      <c r="B3" s="9">
        <v>6</v>
      </c>
      <c r="C3">
        <f>IF(AND(B21&gt;=A3,B21&lt;=B3),D2,0)</f>
        <v>0</v>
      </c>
      <c r="D3" s="10">
        <v>0.14</v>
      </c>
      <c r="F3">
        <f>IF(AND(B21&gt;=A3,B21&lt;=B3),D3,0)</f>
        <v>0</v>
      </c>
      <c r="G3" s="9">
        <v>4</v>
      </c>
      <c r="H3">
        <f aca="true" t="shared" si="0" ref="H3:H17">(B3-A3)+1</f>
        <v>2</v>
      </c>
    </row>
    <row r="4" spans="1:8" ht="15">
      <c r="A4" s="9">
        <v>7</v>
      </c>
      <c r="B4" s="9">
        <v>12</v>
      </c>
      <c r="C4">
        <f>IF(AND(B21&gt;=A4,B21&lt;=B4),D3,0)</f>
        <v>0</v>
      </c>
      <c r="D4" s="10">
        <v>0.2</v>
      </c>
      <c r="F4">
        <f>IF(AND(B21&gt;=A4,B21&lt;=B4),D4,0)</f>
        <v>0</v>
      </c>
      <c r="G4" s="9">
        <v>6</v>
      </c>
      <c r="H4">
        <f t="shared" si="0"/>
        <v>6</v>
      </c>
    </row>
    <row r="5" spans="1:8" ht="15">
      <c r="A5" s="9">
        <v>13</v>
      </c>
      <c r="B5" s="9">
        <v>24</v>
      </c>
      <c r="C5">
        <f>IF(AND(B21&gt;=A5,B21&lt;=B5),D4,0)</f>
        <v>0</v>
      </c>
      <c r="D5" s="10">
        <v>0.31</v>
      </c>
      <c r="F5">
        <f>IF(AND(B21&gt;=A5,B21&lt;=B5),D5,0)</f>
        <v>0</v>
      </c>
      <c r="G5" s="9">
        <v>12</v>
      </c>
      <c r="H5">
        <f t="shared" si="0"/>
        <v>12</v>
      </c>
    </row>
    <row r="6" spans="1:8" ht="15">
      <c r="A6" s="9">
        <v>25</v>
      </c>
      <c r="B6" s="9">
        <v>36</v>
      </c>
      <c r="C6">
        <f>IF(AND(B21&gt;=A6,B21&lt;=B6),D5,0)</f>
        <v>0</v>
      </c>
      <c r="D6" s="10">
        <v>0.41</v>
      </c>
      <c r="F6">
        <f>IF(AND(B21&gt;=A6,B21&lt;=B6),D6,0)</f>
        <v>0</v>
      </c>
      <c r="G6" s="9">
        <v>24</v>
      </c>
      <c r="H6">
        <f t="shared" si="0"/>
        <v>12</v>
      </c>
    </row>
    <row r="7" spans="1:8" ht="15">
      <c r="A7" s="9">
        <v>37</v>
      </c>
      <c r="B7" s="9">
        <v>48</v>
      </c>
      <c r="C7">
        <f>IF(AND(B21&gt;=A7,B21&lt;=B7),D6,0)</f>
        <v>0.41</v>
      </c>
      <c r="D7" s="10">
        <v>0.49</v>
      </c>
      <c r="F7">
        <f>IF(AND(B21&gt;=A7,B21&lt;=B7),D7,0)</f>
        <v>0.49</v>
      </c>
      <c r="G7" s="9">
        <v>36</v>
      </c>
      <c r="H7">
        <f t="shared" si="0"/>
        <v>12</v>
      </c>
    </row>
    <row r="8" spans="1:8" ht="15">
      <c r="A8" s="9">
        <v>49</v>
      </c>
      <c r="B8" s="9">
        <v>60</v>
      </c>
      <c r="C8">
        <f>IF(AND(B21&gt;=A8,B21&lt;=B8),D7,0)</f>
        <v>0</v>
      </c>
      <c r="D8" s="10">
        <v>0.56</v>
      </c>
      <c r="F8">
        <f>IF(AND(B21&gt;=A8,B21&lt;=B8),D8,0)</f>
        <v>0</v>
      </c>
      <c r="G8" s="9">
        <v>48</v>
      </c>
      <c r="H8">
        <f t="shared" si="0"/>
        <v>12</v>
      </c>
    </row>
    <row r="9" spans="1:8" ht="15">
      <c r="A9" s="9">
        <v>61</v>
      </c>
      <c r="B9" s="9">
        <v>72</v>
      </c>
      <c r="C9">
        <f>IF(AND(B21&gt;=A9,B21&lt;=B9),D8,0)</f>
        <v>0</v>
      </c>
      <c r="D9" s="10">
        <v>0.62</v>
      </c>
      <c r="F9">
        <f>IF(AND(B21&gt;=A9,B21&lt;=B9),D9,0)</f>
        <v>0</v>
      </c>
      <c r="G9" s="9">
        <v>60</v>
      </c>
      <c r="H9">
        <f t="shared" si="0"/>
        <v>12</v>
      </c>
    </row>
    <row r="10" spans="1:8" ht="15">
      <c r="A10" s="9">
        <v>73</v>
      </c>
      <c r="B10" s="9">
        <v>84</v>
      </c>
      <c r="C10">
        <f>IF(AND(B21&gt;=A10,B21&lt;=B10),D9,0)</f>
        <v>0</v>
      </c>
      <c r="D10" s="10">
        <v>0.68</v>
      </c>
      <c r="F10">
        <f>IF(AND(B21&gt;=A10,B21&lt;=B10),D10,0)</f>
        <v>0</v>
      </c>
      <c r="G10" s="9">
        <v>72</v>
      </c>
      <c r="H10">
        <f t="shared" si="0"/>
        <v>12</v>
      </c>
    </row>
    <row r="11" spans="1:8" ht="15">
      <c r="A11" s="9">
        <v>85</v>
      </c>
      <c r="B11" s="9">
        <v>96</v>
      </c>
      <c r="C11">
        <f>IF(AND(B21&gt;=A11,B21&lt;=B11),D10,0)</f>
        <v>0</v>
      </c>
      <c r="D11" s="10">
        <v>0.72</v>
      </c>
      <c r="F11">
        <f>IF(AND(B21&gt;=A11,B21&lt;=B11),D11,0)</f>
        <v>0</v>
      </c>
      <c r="G11" s="9">
        <v>84</v>
      </c>
      <c r="H11">
        <f t="shared" si="0"/>
        <v>12</v>
      </c>
    </row>
    <row r="12" spans="1:8" ht="15">
      <c r="A12" s="9">
        <v>97</v>
      </c>
      <c r="B12" s="9">
        <v>108</v>
      </c>
      <c r="C12">
        <f>IF(AND(B21&gt;=A12,B21&lt;=B12),D11,0)</f>
        <v>0</v>
      </c>
      <c r="D12" s="10">
        <v>0.76</v>
      </c>
      <c r="F12">
        <f>IF(AND(B21&gt;=A12,B21&lt;=B12),D12,0)</f>
        <v>0</v>
      </c>
      <c r="G12" s="9">
        <v>96</v>
      </c>
      <c r="H12">
        <f t="shared" si="0"/>
        <v>12</v>
      </c>
    </row>
    <row r="13" spans="1:8" ht="15">
      <c r="A13" s="9">
        <v>109</v>
      </c>
      <c r="B13" s="9">
        <v>120</v>
      </c>
      <c r="C13">
        <f>IF(AND(B21&gt;=A13,B21&lt;=B13),D12,0)</f>
        <v>0</v>
      </c>
      <c r="D13" s="10">
        <v>0.79</v>
      </c>
      <c r="F13">
        <f>IF(AND(B21&gt;=A13,B21&lt;=B13),D13,0)</f>
        <v>0</v>
      </c>
      <c r="G13" s="9">
        <v>108</v>
      </c>
      <c r="H13">
        <f t="shared" si="0"/>
        <v>12</v>
      </c>
    </row>
    <row r="14" spans="1:8" ht="15">
      <c r="A14" s="9">
        <v>121</v>
      </c>
      <c r="B14" s="9">
        <v>132</v>
      </c>
      <c r="C14">
        <f>IF(AND(B21&gt;=A14,B21&lt;=B14),D13,0)</f>
        <v>0</v>
      </c>
      <c r="D14" s="10">
        <v>0.82</v>
      </c>
      <c r="F14">
        <f>IF(AND(B21&gt;=A14,B21&lt;=B14),D14,0)</f>
        <v>0</v>
      </c>
      <c r="G14" s="9">
        <v>120</v>
      </c>
      <c r="H14">
        <f t="shared" si="0"/>
        <v>12</v>
      </c>
    </row>
    <row r="15" spans="1:8" ht="15">
      <c r="A15" s="9">
        <v>133</v>
      </c>
      <c r="B15" s="9">
        <v>144</v>
      </c>
      <c r="C15">
        <f>IF(AND(B21&gt;=A15,B21&lt;=B15),D14,0)</f>
        <v>0</v>
      </c>
      <c r="D15" s="10">
        <v>0.85</v>
      </c>
      <c r="F15">
        <f>IF(AND(B21&gt;=A15,B21&lt;=B15),D15,0)</f>
        <v>0</v>
      </c>
      <c r="G15" s="9">
        <v>132</v>
      </c>
      <c r="H15">
        <f t="shared" si="0"/>
        <v>12</v>
      </c>
    </row>
    <row r="16" spans="1:8" ht="15">
      <c r="A16" s="9">
        <v>145</v>
      </c>
      <c r="B16" s="9">
        <v>156</v>
      </c>
      <c r="C16">
        <f>IF(AND(B21&gt;=A16,B21&lt;=B16),D15,0)</f>
        <v>0</v>
      </c>
      <c r="D16" s="10">
        <v>0.87</v>
      </c>
      <c r="F16">
        <f>IF(AND(B21&gt;=A16,B21&lt;=B16),D16,0)</f>
        <v>0</v>
      </c>
      <c r="G16" s="9">
        <v>144</v>
      </c>
      <c r="H16">
        <f t="shared" si="0"/>
        <v>12</v>
      </c>
    </row>
    <row r="17" spans="1:8" ht="15">
      <c r="A17" s="9">
        <v>157</v>
      </c>
      <c r="B17" s="9">
        <v>168</v>
      </c>
      <c r="C17">
        <f>IF(AND(B21&gt;=A17,B21&lt;=B17),D16,0)</f>
        <v>0</v>
      </c>
      <c r="D17" s="10">
        <v>0.89</v>
      </c>
      <c r="F17">
        <f>IF(AND(B21&gt;=A17,B21&lt;=B17),D17,0)</f>
        <v>0</v>
      </c>
      <c r="G17" s="9">
        <v>156</v>
      </c>
      <c r="H17">
        <f t="shared" si="0"/>
        <v>12</v>
      </c>
    </row>
    <row r="18" spans="1:8" ht="15">
      <c r="A18" s="9">
        <v>169</v>
      </c>
      <c r="B18" s="9"/>
      <c r="C18">
        <f>IF(B21&gt;=A18,D17,0)</f>
        <v>0</v>
      </c>
      <c r="D18" s="10">
        <v>0.9</v>
      </c>
      <c r="F18">
        <f>IF(B21&gt;=A18,D18,0)</f>
        <v>0</v>
      </c>
      <c r="G18" s="9">
        <v>168</v>
      </c>
      <c r="H18">
        <v>12</v>
      </c>
    </row>
    <row r="21" spans="1:2" ht="15">
      <c r="A21" t="s">
        <v>52</v>
      </c>
      <c r="B21" s="11">
        <f>(Benzin!B5-Benzin!B4)*12+(Benzin!C5-Benzin!C4)+1</f>
        <v>42</v>
      </c>
    </row>
    <row r="22" spans="1:2" ht="15">
      <c r="A22" t="s">
        <v>53</v>
      </c>
      <c r="B22" s="12">
        <f>LARGE(F1:F18,1)</f>
        <v>0.49</v>
      </c>
    </row>
    <row r="23" spans="1:2" ht="15">
      <c r="A23" t="s">
        <v>54</v>
      </c>
      <c r="B23">
        <f>VLOOKUP(B22,F1:G18,2,FALSE)</f>
        <v>36</v>
      </c>
    </row>
  </sheetData>
  <sheetProtection password="F20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Kiskőrös Kir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Lőrincz Szilárd</dc:creator>
  <cp:keywords/>
  <dc:description/>
  <cp:lastModifiedBy>Lőrincz Szilárd</cp:lastModifiedBy>
  <dcterms:created xsi:type="dcterms:W3CDTF">2011-07-22T08:38:03Z</dcterms:created>
  <dcterms:modified xsi:type="dcterms:W3CDTF">2011-11-21T13:44:38Z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